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Downlaod Dt. 4-8-25\"/>
    </mc:Choice>
  </mc:AlternateContent>
  <xr:revisionPtr revIDLastSave="0" documentId="13_ncr:1_{7DADF04B-9B7D-4E95-B841-32AAA6545431}" xr6:coauthVersionLast="47" xr6:coauthVersionMax="47" xr10:uidLastSave="{00000000-0000-0000-0000-000000000000}"/>
  <bookViews>
    <workbookView xWindow="-108" yWindow="-108" windowWidth="23256" windowHeight="12456" xr2:uid="{3597AC18-27D1-47AE-A221-6DBB20AA5851}"/>
  </bookViews>
  <sheets>
    <sheet name="ITX CALCU. FY 25-26 AGE &lt; 60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0" i="2" l="1"/>
  <c r="B20" i="2"/>
  <c r="C21" i="2"/>
  <c r="C34" i="2" s="1"/>
  <c r="B21" i="2"/>
  <c r="B34" i="2" s="1"/>
  <c r="C23" i="2" l="1"/>
  <c r="B33" i="2"/>
  <c r="C33" i="2"/>
  <c r="B22" i="2" l="1"/>
  <c r="B23" i="2" s="1"/>
  <c r="D24" i="2" l="1"/>
  <c r="B24" i="2" s="1"/>
  <c r="G24" i="2"/>
  <c r="D32" i="2"/>
  <c r="D31" i="2"/>
  <c r="D29" i="2"/>
  <c r="B29" i="2" s="1"/>
  <c r="E27" i="2"/>
  <c r="C27" i="2" s="1"/>
  <c r="E26" i="2"/>
  <c r="C26" i="2" s="1"/>
  <c r="E25" i="2"/>
  <c r="C25" i="2" s="1"/>
  <c r="E24" i="2"/>
  <c r="C24" i="2" s="1"/>
  <c r="E32" i="2"/>
  <c r="E31" i="2"/>
  <c r="E29" i="2"/>
  <c r="E28" i="2"/>
  <c r="D27" i="2"/>
  <c r="B27" i="2" s="1"/>
  <c r="G25" i="2"/>
  <c r="C28" i="2"/>
  <c r="C29" i="2"/>
  <c r="C32" i="2"/>
  <c r="C31" i="2"/>
  <c r="B32" i="2"/>
  <c r="B31" i="2"/>
  <c r="C30" i="2" l="1"/>
  <c r="C35" i="2" s="1"/>
  <c r="C36" i="2" s="1"/>
  <c r="B30" i="2"/>
  <c r="B35" i="2" l="1"/>
  <c r="B3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14" authorId="0" shapeId="0" xr:uid="{438FE0C6-C106-4B2F-9F31-25194FE69D06}">
      <text>
        <r>
          <rPr>
            <b/>
            <sz val="9"/>
            <color indexed="81"/>
            <rFont val="Tahoma"/>
            <charset val="1"/>
          </rPr>
          <t>Note:</t>
        </r>
        <r>
          <rPr>
            <sz val="9"/>
            <color indexed="81"/>
            <rFont val="Tahoma"/>
            <charset val="1"/>
          </rPr>
          <t xml:space="preserve">
Normal Income from Job or Business</t>
        </r>
      </text>
    </comment>
    <comment ref="A15" authorId="0" shapeId="0" xr:uid="{7540F152-BA5A-4B44-8677-3EBFE6B946A1}">
      <text>
        <r>
          <rPr>
            <b/>
            <sz val="9"/>
            <color indexed="81"/>
            <rFont val="Tahoma"/>
            <charset val="1"/>
          </rPr>
          <t>Note:</t>
        </r>
        <r>
          <rPr>
            <sz val="9"/>
            <color indexed="81"/>
            <rFont val="Tahoma"/>
            <charset val="1"/>
          </rPr>
          <t xml:space="preserve">
Short Term Capital Gains Profit from Stocks or Equity Mutual Funds</t>
        </r>
      </text>
    </comment>
    <comment ref="A16" authorId="0" shapeId="0" xr:uid="{5B53A2E5-DA17-4087-9E24-5A64F585B70E}">
      <text>
        <r>
          <rPr>
            <b/>
            <sz val="9"/>
            <color indexed="81"/>
            <rFont val="Tahoma"/>
            <charset val="1"/>
          </rPr>
          <t xml:space="preserve">Note:
</t>
        </r>
        <r>
          <rPr>
            <sz val="9"/>
            <color indexed="81"/>
            <rFont val="Tahoma"/>
            <family val="2"/>
          </rPr>
          <t>Long Term Capital Gains Profit from Stocks or Equity Mutual Funds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A17" authorId="0" shapeId="0" xr:uid="{5F95B49A-9C49-473C-B821-77717B223933}">
      <text>
        <r>
          <rPr>
            <b/>
            <sz val="9"/>
            <color indexed="81"/>
            <rFont val="Tahoma"/>
            <family val="2"/>
          </rPr>
          <t>Note:</t>
        </r>
        <r>
          <rPr>
            <sz val="9"/>
            <color indexed="81"/>
            <rFont val="Tahoma"/>
            <family val="2"/>
          </rPr>
          <t xml:space="preserve">
Salaried and Pensioners will get Standard Deduction Benefit</t>
        </r>
      </text>
    </comment>
    <comment ref="A21" authorId="0" shapeId="0" xr:uid="{756066C5-BCD5-4536-B99D-68A61ED04453}">
      <text>
        <r>
          <rPr>
            <b/>
            <sz val="9"/>
            <color indexed="81"/>
            <rFont val="Tahoma"/>
            <family val="2"/>
          </rPr>
          <t>Note:</t>
        </r>
        <r>
          <rPr>
            <sz val="9"/>
            <color indexed="81"/>
            <rFont val="Tahoma"/>
            <family val="2"/>
          </rPr>
          <t xml:space="preserve">
Applicable only for Salaried and Pensioners</t>
        </r>
      </text>
    </comment>
    <comment ref="C22" authorId="0" shapeId="0" xr:uid="{699327EA-571F-42A7-9F8C-8447DDBC1A30}">
      <text>
        <r>
          <rPr>
            <b/>
            <sz val="9"/>
            <color indexed="81"/>
            <rFont val="Tahoma"/>
            <family val="2"/>
          </rPr>
          <t>Note:</t>
        </r>
        <r>
          <rPr>
            <sz val="9"/>
            <color indexed="81"/>
            <rFont val="Tahoma"/>
            <family val="2"/>
          </rPr>
          <t xml:space="preserve">
Add NPS Contribution from Employer, Home Loan Interest Amount on let out property here to save tax with new regime</t>
        </r>
      </text>
    </comment>
    <comment ref="B30" authorId="0" shapeId="0" xr:uid="{8544A97C-9FC8-4E7E-AFF2-72615B869506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Max Tax Rebate 12,500 allowed with old tax regime</t>
        </r>
      </text>
    </comment>
    <comment ref="C30" authorId="0" shapeId="0" xr:uid="{F0E1CA10-7067-4F05-AA5F-5262AF372E8B}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Max Tax Rebate 60,000 allowed with new tax regime</t>
        </r>
      </text>
    </comment>
  </commentList>
</comments>
</file>

<file path=xl/sharedStrings.xml><?xml version="1.0" encoding="utf-8"?>
<sst xmlns="http://schemas.openxmlformats.org/spreadsheetml/2006/main" count="45" uniqueCount="40">
  <si>
    <t>Income</t>
  </si>
  <si>
    <t>Investments</t>
  </si>
  <si>
    <t>oldtrue</t>
  </si>
  <si>
    <t>newtrue</t>
  </si>
  <si>
    <t>Rs. 0 to Rs. 2.5L</t>
  </si>
  <si>
    <t>Rs. 2.5L to Rs. 5L</t>
  </si>
  <si>
    <t>Taxable Income</t>
  </si>
  <si>
    <t>Rs. 5L to Rs. 10L</t>
  </si>
  <si>
    <t>Slab 5%</t>
  </si>
  <si>
    <t>&gt; Rs. 10L</t>
  </si>
  <si>
    <t>Slab 10%</t>
  </si>
  <si>
    <t>Slab 15%</t>
  </si>
  <si>
    <t>Slab 20%</t>
  </si>
  <si>
    <t>Slab 30%</t>
  </si>
  <si>
    <t>Surcharge 10%</t>
  </si>
  <si>
    <t>Surcharge 15%</t>
  </si>
  <si>
    <t>Cess 4%</t>
  </si>
  <si>
    <t>Standard Deduction</t>
  </si>
  <si>
    <t>Rs. 0 to Rs. 4L</t>
  </si>
  <si>
    <t>Rs. 4L to Rs. 8L</t>
  </si>
  <si>
    <t>Rs. 8L to Rs. 12L</t>
  </si>
  <si>
    <t>Rs. 12L to Rs. 16L</t>
  </si>
  <si>
    <t>Rs. 16L to Rs. 20L</t>
  </si>
  <si>
    <t>Rs. 20L to Rs. 24L</t>
  </si>
  <si>
    <t>&gt; Rs. 24L</t>
  </si>
  <si>
    <t>Slab 25%</t>
  </si>
  <si>
    <t>STCG Profits</t>
  </si>
  <si>
    <t>LTCG Profits</t>
  </si>
  <si>
    <t>STCG Tax (20%)</t>
  </si>
  <si>
    <t>LTCG Tax (12.5%)</t>
  </si>
  <si>
    <t>Tax Rebate 87A</t>
  </si>
  <si>
    <t>INCOME-TAX CALCULATOR FOR F.Y. 2025-26 OF ASSESSEES BELOW 60 YEARS AGE</t>
  </si>
  <si>
    <t>TITLE</t>
  </si>
  <si>
    <t>OLD REGIME</t>
  </si>
  <si>
    <t>NEW REGIME</t>
  </si>
  <si>
    <t>INCOME SLAB</t>
  </si>
  <si>
    <t>Income Tax Payable</t>
  </si>
  <si>
    <t xml:space="preserve">Salary / Pension </t>
  </si>
  <si>
    <t>BASIC INCOME INFORMATION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</si>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</sst>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₹&quot;\ #,##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color theme="1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b/>
      <sz val="1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79998168889431442"/>
        <bgColor rgb="FF9CC2E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0000"/>
      </patternFill>
    </fill>
    <fill>
      <patternFill patternType="solid">
        <fgColor theme="9" tint="0.79998168889431442"/>
        <bgColor rgb="FF00B050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5" tint="0.79998168889431442"/>
        <bgColor theme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F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1" fillId="6" borderId="0" xfId="0" applyFont="1" applyFill="1"/>
    <xf numFmtId="0" fontId="0" fillId="6" borderId="0" xfId="0" applyFill="1"/>
    <xf numFmtId="0" fontId="3" fillId="11" borderId="0" xfId="0" applyFont="1" applyFill="1"/>
    <xf numFmtId="0" fontId="4" fillId="2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4" fillId="3" borderId="0" xfId="0" applyFont="1" applyFill="1"/>
    <xf numFmtId="0" fontId="3" fillId="5" borderId="0" xfId="0" applyFont="1" applyFill="1" applyAlignment="1">
      <alignment horizontal="center"/>
    </xf>
    <xf numFmtId="0" fontId="3" fillId="10" borderId="0" xfId="0" applyFont="1" applyFill="1"/>
    <xf numFmtId="164" fontId="3" fillId="10" borderId="0" xfId="0" applyNumberFormat="1" applyFont="1" applyFill="1"/>
    <xf numFmtId="9" fontId="3" fillId="11" borderId="0" xfId="0" applyNumberFormat="1" applyFont="1" applyFill="1"/>
    <xf numFmtId="9" fontId="3" fillId="10" borderId="0" xfId="0" applyNumberFormat="1" applyFont="1" applyFill="1"/>
    <xf numFmtId="164" fontId="3" fillId="7" borderId="0" xfId="0" applyNumberFormat="1" applyFont="1" applyFill="1"/>
    <xf numFmtId="0" fontId="4" fillId="0" borderId="0" xfId="0" applyFont="1"/>
    <xf numFmtId="0" fontId="1" fillId="0" borderId="0" xfId="0" applyFont="1"/>
    <xf numFmtId="0" fontId="5" fillId="0" borderId="0" xfId="1" applyFont="1" applyFill="1" applyBorder="1" applyAlignment="1">
      <alignment horizontal="center"/>
    </xf>
    <xf numFmtId="164" fontId="3" fillId="8" borderId="0" xfId="0" applyNumberFormat="1" applyFont="1" applyFill="1"/>
    <xf numFmtId="164" fontId="4" fillId="2" borderId="0" xfId="0" applyNumberFormat="1" applyFont="1" applyFill="1"/>
    <xf numFmtId="0" fontId="12" fillId="12" borderId="0" xfId="0" applyFont="1" applyFill="1"/>
    <xf numFmtId="164" fontId="3" fillId="9" borderId="0" xfId="0" applyNumberFormat="1" applyFont="1" applyFill="1" applyProtection="1">
      <protection locked="0"/>
    </xf>
    <xf numFmtId="164" fontId="3" fillId="9" borderId="0" xfId="0" applyNumberFormat="1" applyFont="1" applyFill="1" applyAlignment="1" applyProtection="1">
      <alignment horizontal="right"/>
      <protection locked="0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929439</xdr:colOff>
      <xdr:row>7</xdr:row>
      <xdr:rowOff>58131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8D5388D-D0A3-8BF1-5B4E-4EF08EEE1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1374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4B36E-316A-4D13-BE96-2AE66EA9004D}">
  <dimension ref="A1:L36"/>
  <sheetViews>
    <sheetView showRowColHeaders="0" tabSelected="1" zoomScale="108" zoomScaleNormal="100" workbookViewId="0">
      <selection activeCell="B17" sqref="B17"/>
    </sheetView>
  </sheetViews>
  <sheetFormatPr defaultColWidth="0" defaultRowHeight="14.4" zeroHeight="1" x14ac:dyDescent="0.3"/>
  <cols>
    <col min="1" max="1" width="22.6640625" customWidth="1"/>
    <col min="2" max="2" width="13.88671875" bestFit="1" customWidth="1"/>
    <col min="3" max="3" width="13.6640625" bestFit="1" customWidth="1"/>
    <col min="4" max="6" width="10.88671875" hidden="1" customWidth="1"/>
    <col min="7" max="7" width="9.44140625" hidden="1" customWidth="1"/>
    <col min="8" max="8" width="6.33203125" customWidth="1"/>
    <col min="9" max="9" width="17.5546875" bestFit="1" customWidth="1"/>
    <col min="10" max="10" width="12.6640625" bestFit="1" customWidth="1"/>
    <col min="11" max="11" width="15.88671875" bestFit="1" customWidth="1"/>
    <col min="12" max="12" width="14.109375" customWidth="1"/>
    <col min="13" max="16384" width="14.44140625" hidden="1"/>
  </cols>
  <sheetData>
    <row r="1" spans="1:12" x14ac:dyDescent="0.3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2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2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2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2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2" x14ac:dyDescent="0.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2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2" x14ac:dyDescent="0.3"/>
    <row r="10" spans="1:12" ht="19.95" customHeight="1" x14ac:dyDescent="0.3">
      <c r="A10" s="23" t="s">
        <v>31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2" x14ac:dyDescent="0.3"/>
    <row r="12" spans="1:12" x14ac:dyDescent="0.3"/>
    <row r="13" spans="1:12" x14ac:dyDescent="0.3">
      <c r="A13" s="1" t="s">
        <v>38</v>
      </c>
      <c r="B13" s="2"/>
    </row>
    <row r="14" spans="1:12" ht="14.25" customHeight="1" x14ac:dyDescent="0.3">
      <c r="A14" s="3" t="s">
        <v>0</v>
      </c>
      <c r="B14" s="20">
        <v>2400000</v>
      </c>
      <c r="D14" s="14"/>
      <c r="E14" s="14"/>
      <c r="F14" s="14"/>
      <c r="G14" s="14"/>
      <c r="H14" s="14"/>
      <c r="I14" s="14"/>
      <c r="J14" s="14"/>
      <c r="K14" s="14"/>
      <c r="L14" s="14"/>
    </row>
    <row r="15" spans="1:12" ht="14.25" customHeight="1" x14ac:dyDescent="0.3">
      <c r="A15" s="3" t="s">
        <v>26</v>
      </c>
      <c r="B15" s="20">
        <v>145000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2" ht="14.25" customHeight="1" x14ac:dyDescent="0.3">
      <c r="A16" s="3" t="s">
        <v>27</v>
      </c>
      <c r="B16" s="20">
        <v>175000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7" spans="1:12" ht="14.25" customHeight="1" x14ac:dyDescent="0.3">
      <c r="A17" s="3" t="s">
        <v>37</v>
      </c>
      <c r="B17" s="21" t="s">
        <v>39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spans="1:12" ht="14.25" customHeight="1" x14ac:dyDescent="0.3">
      <c r="A18" s="3" t="s">
        <v>1</v>
      </c>
      <c r="B18" s="20">
        <v>150000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2" ht="14.25" customHeight="1" x14ac:dyDescent="0.3">
      <c r="A19" s="5" t="s">
        <v>32</v>
      </c>
      <c r="B19" s="6" t="s">
        <v>33</v>
      </c>
      <c r="C19" s="6" t="s">
        <v>34</v>
      </c>
      <c r="D19" s="7" t="s">
        <v>2</v>
      </c>
      <c r="E19" s="7" t="s">
        <v>3</v>
      </c>
      <c r="F19" s="7" t="b">
        <v>0</v>
      </c>
      <c r="G19" s="4"/>
      <c r="H19" s="14"/>
      <c r="I19" s="8" t="s">
        <v>35</v>
      </c>
      <c r="J19" s="8" t="s">
        <v>33</v>
      </c>
      <c r="K19" s="8" t="s">
        <v>35</v>
      </c>
      <c r="L19" s="8" t="s">
        <v>34</v>
      </c>
    </row>
    <row r="20" spans="1:12" ht="14.25" customHeight="1" x14ac:dyDescent="0.3">
      <c r="A20" s="9" t="s">
        <v>0</v>
      </c>
      <c r="B20" s="10">
        <f>B14</f>
        <v>2400000</v>
      </c>
      <c r="C20" s="10">
        <f>B14</f>
        <v>2400000</v>
      </c>
      <c r="D20" s="4"/>
      <c r="E20" s="4"/>
      <c r="F20" s="4"/>
      <c r="G20" s="4"/>
      <c r="H20" s="14"/>
      <c r="I20" s="9" t="s">
        <v>4</v>
      </c>
      <c r="J20" s="11">
        <v>0</v>
      </c>
      <c r="K20" s="9" t="s">
        <v>18</v>
      </c>
      <c r="L20" s="12">
        <v>0</v>
      </c>
    </row>
    <row r="21" spans="1:12" ht="14.25" customHeight="1" x14ac:dyDescent="0.3">
      <c r="A21" s="9" t="s">
        <v>17</v>
      </c>
      <c r="B21" s="10">
        <f>IF(B17="Yes",IF(B14&gt;0,50000,0),0)</f>
        <v>50000</v>
      </c>
      <c r="C21" s="10">
        <f>IF(B17="Yes",IF(B14&gt;0,75000,0),0)</f>
        <v>75000</v>
      </c>
      <c r="D21" s="4"/>
      <c r="E21" s="4"/>
      <c r="F21" s="4"/>
      <c r="G21" s="4"/>
      <c r="H21" s="14"/>
      <c r="I21" s="9" t="s">
        <v>5</v>
      </c>
      <c r="J21" s="11">
        <v>0.05</v>
      </c>
      <c r="K21" s="9" t="s">
        <v>19</v>
      </c>
      <c r="L21" s="12">
        <v>0.05</v>
      </c>
    </row>
    <row r="22" spans="1:12" ht="14.25" customHeight="1" x14ac:dyDescent="0.3">
      <c r="A22" s="9" t="s">
        <v>1</v>
      </c>
      <c r="B22" s="10">
        <f>B18</f>
        <v>150000</v>
      </c>
      <c r="C22" s="10">
        <v>0</v>
      </c>
      <c r="D22" s="4"/>
      <c r="E22" s="4"/>
      <c r="F22" s="4"/>
      <c r="G22" s="4"/>
      <c r="H22" s="14"/>
      <c r="I22" s="9" t="s">
        <v>7</v>
      </c>
      <c r="J22" s="11">
        <v>0.2</v>
      </c>
      <c r="K22" s="9" t="s">
        <v>20</v>
      </c>
      <c r="L22" s="12">
        <v>0.1</v>
      </c>
    </row>
    <row r="23" spans="1:12" ht="14.25" customHeight="1" x14ac:dyDescent="0.3">
      <c r="A23" s="9" t="s">
        <v>6</v>
      </c>
      <c r="B23" s="10">
        <f>IF(B20-B22-B21&lt;0,0,B20-B22-B21)</f>
        <v>2200000</v>
      </c>
      <c r="C23" s="10">
        <f>IF(C20-C22-C21&lt;0,0,C20-C22-C21)</f>
        <v>2325000</v>
      </c>
      <c r="D23" s="4"/>
      <c r="E23" s="4"/>
      <c r="F23" s="4"/>
      <c r="G23" s="4"/>
      <c r="H23" s="14"/>
      <c r="I23" s="9" t="s">
        <v>9</v>
      </c>
      <c r="J23" s="11">
        <v>0.3</v>
      </c>
      <c r="K23" s="9" t="s">
        <v>21</v>
      </c>
      <c r="L23" s="12">
        <v>0.15</v>
      </c>
    </row>
    <row r="24" spans="1:12" ht="14.25" customHeight="1" x14ac:dyDescent="0.3">
      <c r="A24" s="9" t="s">
        <v>8</v>
      </c>
      <c r="B24" s="10">
        <f>IF(B23&gt;250000,D24,F24)</f>
        <v>12500</v>
      </c>
      <c r="C24" s="10">
        <f>IF(C23&gt;400000,E24,F24)</f>
        <v>20000</v>
      </c>
      <c r="D24" s="4">
        <f t="shared" ref="D24" si="0">IF(B23&gt;500000,(500000-250000)*5/100,(B23-250000)*5/100)</f>
        <v>12500</v>
      </c>
      <c r="E24" s="4">
        <f>IF(AND(C23&gt;1200000,C23&lt;=1270588),0,IF(C23&gt;800000,(800000-400000)*5/100,(C23-400000)*5/100))</f>
        <v>20000</v>
      </c>
      <c r="F24" s="4">
        <v>0</v>
      </c>
      <c r="G24" s="4">
        <f>IF(C23&gt;700000,(700000-300000)*5/100,(C23-300000)*5/100)</f>
        <v>20000</v>
      </c>
      <c r="H24" s="14"/>
      <c r="I24" s="9"/>
      <c r="J24" s="11"/>
      <c r="K24" s="9" t="s">
        <v>22</v>
      </c>
      <c r="L24" s="12">
        <v>0.2</v>
      </c>
    </row>
    <row r="25" spans="1:12" ht="14.25" customHeight="1" x14ac:dyDescent="0.3">
      <c r="A25" s="9" t="s">
        <v>10</v>
      </c>
      <c r="B25" s="13"/>
      <c r="C25" s="10">
        <f>IF(C23&gt;800000,E25,F25)</f>
        <v>40000</v>
      </c>
      <c r="D25" s="4"/>
      <c r="E25" s="4">
        <f>IF(AND(C23&gt;1200000,C23&lt;=1270588),0,IF(C23&gt;1200000,(1200000-800000)*10/100,(C23-800000)*10/100))</f>
        <v>40000</v>
      </c>
      <c r="F25" s="4">
        <v>0</v>
      </c>
      <c r="G25" s="4">
        <f>IF(C23&gt;1000000,(1000000-700000)*10/100,(C23-700000)*10/100)</f>
        <v>30000</v>
      </c>
      <c r="H25" s="14"/>
      <c r="I25" s="9"/>
      <c r="J25" s="11"/>
      <c r="K25" s="9" t="s">
        <v>23</v>
      </c>
      <c r="L25" s="12">
        <v>0.25</v>
      </c>
    </row>
    <row r="26" spans="1:12" ht="14.25" customHeight="1" x14ac:dyDescent="0.3">
      <c r="A26" s="9" t="s">
        <v>11</v>
      </c>
      <c r="B26" s="13"/>
      <c r="C26" s="10">
        <f>IF(C23&gt;1200000,E26,F26)</f>
        <v>60000</v>
      </c>
      <c r="D26" s="4"/>
      <c r="E26" s="4">
        <f>IF(AND(C23&gt;1200000,C23&lt;=1270588),C23-1200000,IF(C23&gt;1600000,(1600000-1200000)*15/100,(C23-1200000)*15/100))</f>
        <v>60000</v>
      </c>
      <c r="F26" s="4">
        <v>0</v>
      </c>
      <c r="G26" s="4">
        <v>0</v>
      </c>
      <c r="H26" s="14"/>
      <c r="I26" s="9"/>
      <c r="J26" s="11"/>
      <c r="K26" s="9" t="s">
        <v>24</v>
      </c>
      <c r="L26" s="12">
        <v>0.3</v>
      </c>
    </row>
    <row r="27" spans="1:12" ht="14.25" customHeight="1" x14ac:dyDescent="0.3">
      <c r="A27" s="9" t="s">
        <v>12</v>
      </c>
      <c r="B27" s="10">
        <f>IF(B23&gt;500000,D27,F27)</f>
        <v>100000</v>
      </c>
      <c r="C27" s="10">
        <f>IF(C23&gt;1600000,E27,F27)</f>
        <v>80000</v>
      </c>
      <c r="D27" s="4">
        <f>IF(B23&gt;1000000,(1000000-500000)*20/100,(B23-500000)*20/100)</f>
        <v>100000</v>
      </c>
      <c r="E27" s="4">
        <f>IF(C23&gt;2000000,(2000000-1600000)*20/100,(C23-1600000)*20/100)</f>
        <v>80000</v>
      </c>
      <c r="F27" s="4">
        <v>0</v>
      </c>
      <c r="G27" s="4">
        <v>0</v>
      </c>
      <c r="H27" s="14"/>
      <c r="I27" s="14"/>
      <c r="J27" s="14"/>
      <c r="K27" s="14"/>
      <c r="L27" s="14"/>
    </row>
    <row r="28" spans="1:12" ht="14.25" customHeight="1" x14ac:dyDescent="0.3">
      <c r="A28" s="9" t="s">
        <v>25</v>
      </c>
      <c r="B28" s="13"/>
      <c r="C28" s="10">
        <f>IF(C23&gt;2000000,E28,F28)</f>
        <v>81250</v>
      </c>
      <c r="D28" s="4"/>
      <c r="E28" s="4">
        <f>IF(C23&gt;2400000,(2400000-2000000)*25/100,(C23-2000000)*25/100)</f>
        <v>81250</v>
      </c>
      <c r="F28" s="4">
        <v>0</v>
      </c>
      <c r="G28" s="4">
        <v>0</v>
      </c>
      <c r="H28" s="14"/>
      <c r="I28" s="15"/>
      <c r="J28" s="15"/>
      <c r="K28" s="16"/>
      <c r="L28" s="14"/>
    </row>
    <row r="29" spans="1:12" x14ac:dyDescent="0.3">
      <c r="A29" s="9" t="s">
        <v>13</v>
      </c>
      <c r="B29" s="10">
        <f>IF(B23&gt;1000000,D29,F29)</f>
        <v>360000</v>
      </c>
      <c r="C29" s="10">
        <f>IF(C23&gt;2400000,E29,F29)</f>
        <v>0</v>
      </c>
      <c r="D29" s="4">
        <f>(B23-1000000)*30/100</f>
        <v>360000</v>
      </c>
      <c r="E29" s="4">
        <f>(C23-2400000)*30/100</f>
        <v>-22500</v>
      </c>
      <c r="F29" s="4">
        <v>0</v>
      </c>
      <c r="G29" s="4">
        <v>0</v>
      </c>
      <c r="H29" s="14"/>
      <c r="I29" s="15"/>
      <c r="J29" s="15"/>
      <c r="K29" s="16"/>
      <c r="L29" s="14"/>
    </row>
    <row r="30" spans="1:12" x14ac:dyDescent="0.3">
      <c r="A30" s="9" t="s">
        <v>30</v>
      </c>
      <c r="B30" s="17">
        <f>IF(SUM(B24:B29)&lt;=12500,SUM(B24:B29),0)</f>
        <v>0</v>
      </c>
      <c r="C30" s="17">
        <f>IF(C23&lt;=1200000,SUM(C24:C29),0)</f>
        <v>0</v>
      </c>
      <c r="D30" s="4"/>
      <c r="E30" s="4"/>
      <c r="F30" s="4"/>
      <c r="G30" s="4"/>
      <c r="H30" s="14"/>
      <c r="I30" s="15"/>
      <c r="J30" s="15"/>
      <c r="K30" s="16"/>
      <c r="L30" s="14"/>
    </row>
    <row r="31" spans="1:12" x14ac:dyDescent="0.3">
      <c r="A31" s="9" t="s">
        <v>14</v>
      </c>
      <c r="B31" s="10">
        <f>IF(B23&gt;5000000,D31,F31)</f>
        <v>0</v>
      </c>
      <c r="C31" s="10">
        <f>IF(C23&gt;5000000,E31,G31)</f>
        <v>0</v>
      </c>
      <c r="D31" s="4">
        <f t="shared" ref="D31:E31" si="1">IF(B23&gt;10000000,(10000000-5000000)*10/100,(B23-5000000)*10/100)</f>
        <v>-280000</v>
      </c>
      <c r="E31" s="4">
        <f t="shared" si="1"/>
        <v>-267500</v>
      </c>
      <c r="F31" s="4">
        <v>0</v>
      </c>
      <c r="G31" s="4"/>
      <c r="H31" s="14"/>
      <c r="I31" s="15"/>
      <c r="J31" s="15"/>
      <c r="K31" s="16"/>
      <c r="L31" s="14"/>
    </row>
    <row r="32" spans="1:12" x14ac:dyDescent="0.3">
      <c r="A32" s="12" t="s">
        <v>15</v>
      </c>
      <c r="B32" s="10">
        <f>IF(B23&gt;10000000,D32,F32)</f>
        <v>0</v>
      </c>
      <c r="C32" s="10">
        <f>IF(C23&gt;10000000,E32,G32)</f>
        <v>0</v>
      </c>
      <c r="D32" s="4">
        <f t="shared" ref="D32:E32" si="2">(B23-10000000)*15/100</f>
        <v>-1170000</v>
      </c>
      <c r="E32" s="4">
        <f t="shared" si="2"/>
        <v>-1151250</v>
      </c>
      <c r="F32" s="4">
        <v>0</v>
      </c>
      <c r="G32" s="4"/>
      <c r="H32" s="14"/>
      <c r="I32" s="14"/>
      <c r="J32" s="14"/>
      <c r="K32" s="14"/>
      <c r="L32" s="14"/>
    </row>
    <row r="33" spans="1:12" x14ac:dyDescent="0.3">
      <c r="A33" s="12" t="s">
        <v>28</v>
      </c>
      <c r="B33" s="10">
        <f>IF(B14+B15-B21&lt;250000,0,IF(B14-B21&lt;=250000,(B14+B15-B21-250000)/100*20,B15/100*20))</f>
        <v>29000</v>
      </c>
      <c r="C33" s="10">
        <f>IF(B14+B15+B16-C21&lt;400000,0,IF(B14+B16-C21&lt;=400000,(B14+B15+B16-C21-400000)/100*20,B15/100*20))</f>
        <v>29000</v>
      </c>
      <c r="D33" s="18"/>
      <c r="E33" s="18"/>
      <c r="F33" s="4"/>
      <c r="G33" s="4"/>
      <c r="H33" s="14"/>
      <c r="I33" s="15"/>
      <c r="J33" s="15"/>
      <c r="K33" s="16"/>
      <c r="L33" s="14"/>
    </row>
    <row r="34" spans="1:12" x14ac:dyDescent="0.3">
      <c r="A34" s="12" t="s">
        <v>29</v>
      </c>
      <c r="B34" s="10">
        <f>IF(B14+B15+B16-B21&lt;250000,0,IF(B14+B15-B21&lt;=250000,IF(B14+B15+B16-B21-375000&lt;0,0,(B14+B15+B16-B21-375000)/100*12.5),IF(B16-125000&lt;0,0,(B16-125000)/100*12.5)))</f>
        <v>6250</v>
      </c>
      <c r="C34" s="10">
        <f>IF(B14+B15+B16-C21&lt;400000,0,IF(B14+B15-C21&lt;=400000,IF(B14+B15+B16-C21-525000&lt;0,0,(B14+B15+B16-C21-525000)/100*12.5),IF(B16-125000&lt;0,0,(B16-125000)/100*12.5)))</f>
        <v>6250</v>
      </c>
      <c r="D34" s="4"/>
      <c r="E34" s="4"/>
      <c r="F34" s="4"/>
      <c r="G34" s="4"/>
      <c r="H34" s="14"/>
      <c r="I34" s="15"/>
      <c r="J34" s="15"/>
      <c r="K34" s="16"/>
      <c r="L34" s="14"/>
    </row>
    <row r="35" spans="1:12" x14ac:dyDescent="0.3">
      <c r="A35" s="9" t="s">
        <v>16</v>
      </c>
      <c r="B35" s="10">
        <f>(SUM(B24,B27,B29,B31,B32,B33,B34)-B30)*4/100</f>
        <v>20310</v>
      </c>
      <c r="C35" s="10">
        <f>(SUM(C24,C25,C26,C27,C28,C29,C31,C32,C33,C34)-C30)*4/100</f>
        <v>12660</v>
      </c>
      <c r="D35" s="4"/>
      <c r="E35" s="4"/>
      <c r="F35" s="4"/>
      <c r="G35" s="4"/>
      <c r="H35" s="14"/>
      <c r="I35" s="15"/>
      <c r="J35" s="15"/>
      <c r="K35" s="16"/>
      <c r="L35" s="14"/>
    </row>
    <row r="36" spans="1:12" x14ac:dyDescent="0.3">
      <c r="A36" s="19" t="s">
        <v>36</v>
      </c>
      <c r="B36" s="10">
        <f>SUM(B24,B27,B29,B31,B32,B35,B33,B34)-B30</f>
        <v>528060</v>
      </c>
      <c r="C36" s="10">
        <f>SUM(C24,C25,C26,C27,C28,C29,C31,C32,C35,C33,C34)-C30</f>
        <v>329160</v>
      </c>
      <c r="D36" s="4"/>
      <c r="E36" s="4"/>
      <c r="F36" s="4"/>
      <c r="G36" s="4"/>
      <c r="H36" s="14"/>
      <c r="I36" s="14"/>
      <c r="J36" s="14"/>
      <c r="K36" s="14"/>
      <c r="L36" s="14"/>
    </row>
  </sheetData>
  <sheetProtection algorithmName="SHA-512" hashValue="rKSJ0EcutfFd4nDon8Fi5M/Dreb6N8W86Kv027XAA5FMXzMwdCopvY9B3+C/ut0kgVmSwBW5xQrSebly5exrmg==" saltValue="qfCgJAqPiJ6um3k70lE1UA==" spinCount="100000" sheet="1" objects="1" scenarios="1" selectLockedCells="1"/>
  <mergeCells count="2">
    <mergeCell ref="A1:K8"/>
    <mergeCell ref="A10:K10"/>
  </mergeCells>
  <dataValidations count="1">
    <dataValidation type="list" allowBlank="1" showInputMessage="1" showErrorMessage="1" sqref="B17" xr:uid="{71E0F248-2ECB-463A-A73B-1446A9FAE4D5}">
      <formula1>"Yes, No"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ITX CALCU. FY 25-26 AGE &lt; 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RAMESH P RAHEJA</cp:lastModifiedBy>
  <cp:lastPrinted>2025-08-20T11:53:45Z</cp:lastPrinted>
  <dcterms:created xsi:type="dcterms:W3CDTF">2024-07-23T07:58:38Z</dcterms:created>
  <dcterms:modified xsi:type="dcterms:W3CDTF">2025-08-20T11:57:30Z</dcterms:modified>
</cp:coreProperties>
</file>